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364b9c4104e030/Documents/5 Genesee Emergency Access Route/"/>
    </mc:Choice>
  </mc:AlternateContent>
  <xr:revisionPtr revIDLastSave="39" documentId="8_{E3F84150-A3E6-4244-8F24-3A886422B4EA}" xr6:coauthVersionLast="47" xr6:coauthVersionMax="47" xr10:uidLastSave="{9549C374-7F36-4CE7-912A-9FF5FBF2D010}"/>
  <bookViews>
    <workbookView xWindow="-110" yWindow="-110" windowWidth="23260" windowHeight="14860" tabRatio="500" xr2:uid="{00000000-000D-0000-FFFF-FFFF00000000}"/>
  </bookViews>
  <sheets>
    <sheet name="Mill Levy Adj Calc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28" i="1" s="1"/>
  <c r="B27" i="1" l="1"/>
  <c r="Q10" i="1"/>
  <c r="L10" i="1"/>
  <c r="N10" i="1" s="1"/>
  <c r="G4" i="1"/>
  <c r="R10" i="1" l="1"/>
  <c r="B55" i="1"/>
  <c r="B53" i="1"/>
  <c r="B12" i="1" l="1"/>
  <c r="B14" i="1" l="1"/>
  <c r="B15" i="1" s="1"/>
  <c r="E24" i="1"/>
  <c r="E23" i="1"/>
  <c r="B31" i="1"/>
  <c r="B30" i="1" s="1"/>
  <c r="E25" i="1" l="1"/>
  <c r="E26" i="1" s="1"/>
  <c r="B21" i="1" s="1"/>
  <c r="D15" i="1"/>
  <c r="E15" i="1"/>
  <c r="H15" i="1" s="1"/>
  <c r="B20" i="1" l="1"/>
  <c r="B39" i="1" s="1"/>
  <c r="E27" i="1"/>
  <c r="B57" i="1" l="1"/>
  <c r="B58" i="1" s="1"/>
  <c r="B40" i="1"/>
  <c r="B42" i="1"/>
  <c r="B44" i="1" s="1"/>
  <c r="B36" i="1"/>
  <c r="B37" i="1"/>
  <c r="B43" i="1" l="1"/>
  <c r="B35" i="1"/>
</calcChain>
</file>

<file path=xl/sharedStrings.xml><?xml version="1.0" encoding="utf-8"?>
<sst xmlns="http://schemas.openxmlformats.org/spreadsheetml/2006/main" count="68" uniqueCount="68">
  <si>
    <t>District Assessed Value</t>
    <phoneticPr fontId="2" type="noConversion"/>
  </si>
  <si>
    <t>District Actual Value</t>
    <phoneticPr fontId="2" type="noConversion"/>
  </si>
  <si>
    <t>Residential Actual Value</t>
    <phoneticPr fontId="2" type="noConversion"/>
  </si>
  <si>
    <t>Non-Residential Actual Value</t>
    <phoneticPr fontId="2" type="noConversion"/>
  </si>
  <si>
    <t>Non-Residential Rate</t>
    <phoneticPr fontId="2" type="noConversion"/>
  </si>
  <si>
    <t>Property Tax = (Mill Levy x 0.001) x Assessed Value</t>
    <phoneticPr fontId="2" type="noConversion"/>
  </si>
  <si>
    <t>PMT (mo.)</t>
  </si>
  <si>
    <t>PMT (annual)</t>
  </si>
  <si>
    <t>Property Tax Required Annually</t>
  </si>
  <si>
    <t>Loan Amount</t>
  </si>
  <si>
    <t>Term (Yrs)</t>
  </si>
  <si>
    <t>Inflated to 2025</t>
  </si>
  <si>
    <t>Bond Counsel:</t>
  </si>
  <si>
    <t>Subtotal:</t>
  </si>
  <si>
    <t>Working Estimate Total:</t>
  </si>
  <si>
    <t>Almost 5%</t>
  </si>
  <si>
    <t>Mill-Levy Calculator</t>
  </si>
  <si>
    <t>Incl. 2021 Feasibility Study, Final Design</t>
  </si>
  <si>
    <t>Genesee Home:</t>
  </si>
  <si>
    <t>1166 Preserve Circle</t>
  </si>
  <si>
    <t>Actual Value:</t>
  </si>
  <si>
    <t>Assessed Value:</t>
  </si>
  <si>
    <t>Residential Assessment Rate (RAR):</t>
  </si>
  <si>
    <t>Tax Rate:</t>
  </si>
  <si>
    <t>Example Calculation using 2023, payable in 2024 Actuals</t>
  </si>
  <si>
    <t>Assessed/Actual Value ratio; We've been using 7.15 in model</t>
  </si>
  <si>
    <t>This Home's Property Tax:</t>
  </si>
  <si>
    <t>1166 Preserve Cir Increase in Property Tax due to EAR:</t>
  </si>
  <si>
    <t>Incl. 2021 Feas. Study, Prelim Design, Design-Assist</t>
  </si>
  <si>
    <t>GFPD Mill-Levy Workbook with 2024 Assessed Valuation</t>
  </si>
  <si>
    <t>Cost to Residential per $100,000 of Actual Value:</t>
  </si>
  <si>
    <t>Cost to Non-Residential per $100,000 of Actual  Value:</t>
  </si>
  <si>
    <t>Total New Property Tax</t>
  </si>
  <si>
    <t>Contingency:</t>
  </si>
  <si>
    <t>Election Expenses:</t>
  </si>
  <si>
    <t>Underwriter Fee:</t>
  </si>
  <si>
    <t>(Incl $98,000 Material Testing)</t>
  </si>
  <si>
    <t>Engineer Construction Phase Services/Survy/Easement:</t>
  </si>
  <si>
    <t>Hrly Raw</t>
  </si>
  <si>
    <t>Multiplier</t>
  </si>
  <si>
    <t>Hrly Loaded</t>
  </si>
  <si>
    <t>hrs/wk</t>
  </si>
  <si>
    <t>weeks</t>
  </si>
  <si>
    <t>Owner's Rep/Const Manager (if Req'd):</t>
  </si>
  <si>
    <t>Capitalize Foundation Design Costs (Choice):</t>
  </si>
  <si>
    <t>Capitalize GFPD Design Costs (Choice):</t>
  </si>
  <si>
    <t>Hr/Yr</t>
  </si>
  <si>
    <t>Total Hrs</t>
  </si>
  <si>
    <t>6 months</t>
  </si>
  <si>
    <t>Project Fee</t>
  </si>
  <si>
    <t xml:space="preserve">Bond Rating: </t>
  </si>
  <si>
    <t xml:space="preserve">GFPD Counsel (Cost Docs and Bond): </t>
  </si>
  <si>
    <t>Baseline/ZAK Estimate 2024:</t>
  </si>
  <si>
    <t xml:space="preserve"> if Design not capitalized </t>
  </si>
  <si>
    <t>Residential Assessed Value</t>
  </si>
  <si>
    <t>Estimated Interest Rate</t>
  </si>
  <si>
    <t xml:space="preserve">Total Loan Cost to GFPD </t>
  </si>
  <si>
    <t>Term (months)</t>
  </si>
  <si>
    <t>Rate per month</t>
  </si>
  <si>
    <t>$1M Home Cost over 30 years =</t>
  </si>
  <si>
    <t xml:space="preserve"> $1M (Actual Value) Home Cost/Month =</t>
  </si>
  <si>
    <t>Example: $1M (Actual Value) Home Cost/Year =</t>
  </si>
  <si>
    <t>Non-Residential Assessed Value</t>
  </si>
  <si>
    <t>GFPD Property Tax Revenue/year - Total</t>
  </si>
  <si>
    <t>GFPD Property Tax Revenue/year  - Residential</t>
  </si>
  <si>
    <t>GFPD Property Tax Revenue/year - Non-Residential</t>
  </si>
  <si>
    <t>Mill Levy for EAR</t>
  </si>
  <si>
    <t>2024, Payable in 2025  Residential Assessment Rate (RAR)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</si>
</sst>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#,##0.000_);\(#,##0.000\)"/>
    <numFmt numFmtId="166" formatCode="&quot;$&quot;#,##0"/>
    <numFmt numFmtId="167" formatCode="&quot;$&quot;#,##0.00"/>
    <numFmt numFmtId="168" formatCode="_(&quot;$&quot;* #,##0_);_(&quot;$&quot;* \(#,##0\);_(&quot;$&quot;* &quot;-&quot;??_);_(@_)"/>
    <numFmt numFmtId="169" formatCode="_(&quot;$&quot;* #,##0.000_);_(&quot;$&quot;* \(#,##0.000\);_(&quot;$&quot;* &quot;-&quot;???_);_(@_)"/>
    <numFmt numFmtId="170" formatCode="0.000%"/>
    <numFmt numFmtId="171" formatCode="0.0%"/>
    <numFmt numFmtId="172" formatCode="0.00000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ptos"/>
      <family val="2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0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6" fontId="0" fillId="0" borderId="0" xfId="0" applyNumberForma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8" fontId="0" fillId="2" borderId="0" xfId="1" applyNumberFormat="1" applyFont="1" applyFill="1" applyAlignment="1">
      <alignment horizontal="right"/>
    </xf>
    <xf numFmtId="170" fontId="0" fillId="2" borderId="0" xfId="2" applyNumberFormat="1" applyFont="1" applyFill="1" applyAlignment="1">
      <alignment horizontal="right"/>
    </xf>
    <xf numFmtId="10" fontId="0" fillId="2" borderId="0" xfId="2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44" fontId="8" fillId="0" borderId="8" xfId="1" applyFont="1" applyBorder="1" applyAlignment="1">
      <alignment horizontal="right"/>
    </xf>
    <xf numFmtId="44" fontId="7" fillId="0" borderId="0" xfId="0" applyNumberFormat="1" applyFont="1" applyAlignment="1">
      <alignment vertical="center"/>
    </xf>
    <xf numFmtId="0" fontId="6" fillId="0" borderId="0" xfId="0" applyFont="1"/>
    <xf numFmtId="0" fontId="8" fillId="0" borderId="0" xfId="0" applyFont="1"/>
    <xf numFmtId="9" fontId="0" fillId="0" borderId="0" xfId="0" applyNumberFormat="1" applyAlignment="1">
      <alignment horizontal="center"/>
    </xf>
    <xf numFmtId="9" fontId="0" fillId="0" borderId="0" xfId="0" applyNumberFormat="1"/>
    <xf numFmtId="170" fontId="0" fillId="0" borderId="0" xfId="2" applyNumberFormat="1" applyFont="1" applyAlignment="1">
      <alignment horizontal="left"/>
    </xf>
    <xf numFmtId="166" fontId="0" fillId="3" borderId="0" xfId="0" applyNumberFormat="1" applyFill="1" applyAlignment="1">
      <alignment horizontal="right"/>
    </xf>
    <xf numFmtId="10" fontId="0" fillId="3" borderId="4" xfId="0" applyNumberFormat="1" applyFill="1" applyBorder="1" applyAlignment="1">
      <alignment horizontal="right"/>
    </xf>
    <xf numFmtId="44" fontId="0" fillId="0" borderId="0" xfId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9" fillId="0" borderId="0" xfId="0" applyFont="1" applyAlignment="1">
      <alignment horizontal="right"/>
    </xf>
    <xf numFmtId="168" fontId="9" fillId="0" borderId="7" xfId="1" applyNumberFormat="1" applyFont="1" applyBorder="1" applyAlignment="1">
      <alignment horizontal="right"/>
    </xf>
    <xf numFmtId="0" fontId="9" fillId="0" borderId="0" xfId="0" applyFont="1"/>
    <xf numFmtId="168" fontId="9" fillId="0" borderId="0" xfId="1" applyNumberFormat="1" applyFont="1" applyAlignment="1">
      <alignment horizontal="right"/>
    </xf>
    <xf numFmtId="169" fontId="9" fillId="0" borderId="0" xfId="0" applyNumberFormat="1" applyFont="1"/>
    <xf numFmtId="10" fontId="9" fillId="0" borderId="0" xfId="2" applyNumberFormat="1" applyFont="1"/>
    <xf numFmtId="6" fontId="9" fillId="0" borderId="7" xfId="0" applyNumberFormat="1" applyFont="1" applyBorder="1" applyAlignment="1">
      <alignment horizontal="right"/>
    </xf>
    <xf numFmtId="168" fontId="9" fillId="0" borderId="0" xfId="0" applyNumberFormat="1" applyFont="1" applyAlignment="1">
      <alignment horizontal="right"/>
    </xf>
    <xf numFmtId="168" fontId="9" fillId="0" borderId="7" xfId="0" applyNumberFormat="1" applyFont="1" applyBorder="1" applyAlignment="1">
      <alignment horizontal="right"/>
    </xf>
    <xf numFmtId="171" fontId="9" fillId="0" borderId="0" xfId="2" applyNumberFormat="1" applyFont="1" applyAlignment="1">
      <alignment horizontal="left"/>
    </xf>
    <xf numFmtId="6" fontId="0" fillId="0" borderId="0" xfId="0" applyNumberFormat="1"/>
    <xf numFmtId="167" fontId="0" fillId="0" borderId="0" xfId="0" applyNumberFormat="1" applyAlignment="1">
      <alignment horizontal="center"/>
    </xf>
    <xf numFmtId="10" fontId="0" fillId="3" borderId="0" xfId="0" applyNumberFormat="1" applyFill="1" applyAlignment="1">
      <alignment horizontal="right"/>
    </xf>
    <xf numFmtId="9" fontId="0" fillId="0" borderId="0" xfId="2" applyFont="1" applyAlignment="1">
      <alignment horizontal="right"/>
    </xf>
    <xf numFmtId="0" fontId="3" fillId="0" borderId="0" xfId="0" applyFont="1" applyAlignment="1">
      <alignment horizontal="right"/>
    </xf>
    <xf numFmtId="166" fontId="0" fillId="3" borderId="2" xfId="0" applyNumberFormat="1" applyFill="1" applyBorder="1" applyAlignment="1">
      <alignment horizontal="right"/>
    </xf>
    <xf numFmtId="172" fontId="0" fillId="0" borderId="0" xfId="2" applyNumberFormat="1" applyFont="1" applyAlignment="1">
      <alignment horizontal="right"/>
    </xf>
    <xf numFmtId="166" fontId="0" fillId="4" borderId="0" xfId="0" applyNumberFormat="1" applyFill="1" applyAlignment="1">
      <alignment horizontal="right"/>
    </xf>
    <xf numFmtId="168" fontId="0" fillId="0" borderId="0" xfId="1" applyNumberFormat="1" applyFont="1" applyAlignment="1">
      <alignment horizontal="right"/>
    </xf>
    <xf numFmtId="166" fontId="0" fillId="0" borderId="8" xfId="0" applyNumberFormat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27</xdr:row>
      <xdr:rowOff>72391</xdr:rowOff>
    </xdr:from>
    <xdr:to>
      <xdr:col>3</xdr:col>
      <xdr:colOff>175259</xdr:colOff>
      <xdr:row>27</xdr:row>
      <xdr:rowOff>118110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CEF3EE-8019-A0B3-FAE6-213B3D91C63A}"/>
            </a:ext>
          </a:extLst>
        </xdr:cNvPr>
        <xdr:cNvSpPr txBox="1"/>
      </xdr:nvSpPr>
      <xdr:spPr>
        <a:xfrm>
          <a:off x="4846320" y="3535681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Inputed</a:t>
          </a:r>
        </a:p>
      </xdr:txBody>
    </xdr:sp>
    <xdr:clientData/>
  </xdr:twoCellAnchor>
  <xdr:oneCellAnchor>
    <xdr:from>
      <xdr:col>2</xdr:col>
      <xdr:colOff>300990</xdr:colOff>
      <xdr:row>27</xdr:row>
      <xdr:rowOff>133350</xdr:rowOff>
    </xdr:from>
    <xdr:ext cx="1026628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7BB61B-6DC3-E74D-F5D1-203FDE08C28E}"/>
            </a:ext>
          </a:extLst>
        </xdr:cNvPr>
        <xdr:cNvSpPr txBox="1"/>
      </xdr:nvSpPr>
      <xdr:spPr>
        <a:xfrm>
          <a:off x="5406390" y="4857750"/>
          <a:ext cx="102662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JeffCo Records</a:t>
          </a:r>
        </a:p>
      </xdr:txBody>
    </xdr:sp>
    <xdr:clientData/>
  </xdr:oneCellAnchor>
  <xdr:twoCellAnchor>
    <xdr:from>
      <xdr:col>2</xdr:col>
      <xdr:colOff>11430</xdr:colOff>
      <xdr:row>25</xdr:row>
      <xdr:rowOff>7620</xdr:rowOff>
    </xdr:from>
    <xdr:to>
      <xdr:col>3</xdr:col>
      <xdr:colOff>0</xdr:colOff>
      <xdr:row>32</xdr:row>
      <xdr:rowOff>12700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44710F4C-DC9D-0C27-76B0-2EE5178A4CAC}"/>
            </a:ext>
          </a:extLst>
        </xdr:cNvPr>
        <xdr:cNvSpPr/>
      </xdr:nvSpPr>
      <xdr:spPr>
        <a:xfrm>
          <a:off x="5116830" y="4414520"/>
          <a:ext cx="369570" cy="1116330"/>
        </a:xfrm>
        <a:prstGeom prst="rightBrace">
          <a:avLst>
            <a:gd name="adj1" fmla="val 8333"/>
            <a:gd name="adj2" fmla="val 52073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31750</xdr:colOff>
      <xdr:row>25</xdr:row>
      <xdr:rowOff>69850</xdr:rowOff>
    </xdr:from>
    <xdr:to>
      <xdr:col>5</xdr:col>
      <xdr:colOff>69850</xdr:colOff>
      <xdr:row>34</xdr:row>
      <xdr:rowOff>63500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632FE896-8B8C-31D6-0F51-4B9C5C5CE9D2}"/>
            </a:ext>
          </a:extLst>
        </xdr:cNvPr>
        <xdr:cNvCxnSpPr/>
      </xdr:nvCxnSpPr>
      <xdr:spPr>
        <a:xfrm rot="10800000" flipV="1">
          <a:off x="5137150" y="4476750"/>
          <a:ext cx="2851150" cy="1409700"/>
        </a:xfrm>
        <a:prstGeom prst="bentConnector3">
          <a:avLst>
            <a:gd name="adj1" fmla="val -3452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971550</xdr:colOff>
      <xdr:row>20</xdr:row>
      <xdr:rowOff>76200</xdr:rowOff>
    </xdr:from>
    <xdr:to>
      <xdr:col>3</xdr:col>
      <xdr:colOff>793750</xdr:colOff>
      <xdr:row>25</xdr:row>
      <xdr:rowOff>88900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id="{E405B5E6-DBE4-F6E6-C8BB-6CABDA441632}"/>
            </a:ext>
          </a:extLst>
        </xdr:cNvPr>
        <xdr:cNvCxnSpPr/>
      </xdr:nvCxnSpPr>
      <xdr:spPr>
        <a:xfrm rot="10800000">
          <a:off x="5092700" y="3638550"/>
          <a:ext cx="1187450" cy="793750"/>
        </a:xfrm>
        <a:prstGeom prst="bentConnector3">
          <a:avLst>
            <a:gd name="adj1" fmla="val 72995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showGridLines="0" tabSelected="1" topLeftCell="A14" zoomScaleNormal="100" workbookViewId="0">
      <selection activeCell="A20" sqref="A20:XFD20"/>
    </sheetView>
  </sheetViews>
  <sheetFormatPr defaultColWidth="10.81640625" defaultRowHeight="12.5" x14ac:dyDescent="0.25"/>
  <cols>
    <col min="1" max="1" width="50.54296875" customWidth="1"/>
    <col min="2" max="2" width="14.08984375" style="2" bestFit="1" customWidth="1"/>
    <col min="3" max="3" width="5.453125" style="2" customWidth="1"/>
    <col min="4" max="4" width="23.1796875" customWidth="1"/>
    <col min="5" max="5" width="11.6328125" style="2" customWidth="1"/>
    <col min="6" max="6" width="3.36328125" customWidth="1"/>
    <col min="7" max="7" width="18.81640625" customWidth="1"/>
    <col min="8" max="8" width="16.6328125" customWidth="1"/>
    <col min="9" max="9" width="2.08984375" customWidth="1"/>
    <col min="10" max="10" width="11.1796875" bestFit="1" customWidth="1"/>
    <col min="11" max="14" width="0" hidden="1" customWidth="1"/>
    <col min="15" max="15" width="7.453125" hidden="1" customWidth="1"/>
    <col min="16" max="16" width="0" hidden="1" customWidth="1"/>
    <col min="17" max="17" width="8" hidden="1" customWidth="1"/>
    <col min="18" max="18" width="11.1796875" hidden="1" customWidth="1"/>
  </cols>
  <sheetData>
    <row r="1" spans="1:18" ht="28.25" customHeight="1" x14ac:dyDescent="0.4">
      <c r="A1" s="37" t="s">
        <v>29</v>
      </c>
    </row>
    <row r="2" spans="1:18" ht="7.9" customHeight="1" x14ac:dyDescent="0.25"/>
    <row r="3" spans="1:18" ht="13.5" thickBot="1" x14ac:dyDescent="0.35">
      <c r="A3" s="45" t="s">
        <v>52</v>
      </c>
      <c r="B3" s="46">
        <v>6480000</v>
      </c>
      <c r="C3" s="45"/>
      <c r="D3" s="47" t="s">
        <v>36</v>
      </c>
      <c r="E3" s="45"/>
      <c r="F3" s="47"/>
      <c r="G3" s="47"/>
    </row>
    <row r="4" spans="1:18" ht="13" x14ac:dyDescent="0.3">
      <c r="A4" s="45" t="s">
        <v>11</v>
      </c>
      <c r="B4" s="48">
        <v>6800000</v>
      </c>
      <c r="C4" s="45"/>
      <c r="D4" s="49" t="s">
        <v>15</v>
      </c>
      <c r="E4" s="45"/>
      <c r="F4" s="47"/>
      <c r="G4" s="50">
        <f>6800000/B3</f>
        <v>1.0493827160493827</v>
      </c>
    </row>
    <row r="5" spans="1:18" ht="13" x14ac:dyDescent="0.3">
      <c r="A5" s="45" t="s">
        <v>12</v>
      </c>
      <c r="B5" s="48">
        <v>60000</v>
      </c>
      <c r="C5" s="45"/>
      <c r="D5" s="47"/>
      <c r="E5" s="45"/>
      <c r="F5" s="47"/>
      <c r="G5" s="47"/>
    </row>
    <row r="6" spans="1:18" ht="13" x14ac:dyDescent="0.3">
      <c r="A6" s="45" t="s">
        <v>50</v>
      </c>
      <c r="B6" s="48">
        <v>20000</v>
      </c>
      <c r="C6" s="45"/>
      <c r="D6" s="47"/>
      <c r="E6" s="45"/>
      <c r="F6" s="47"/>
      <c r="G6" s="47"/>
    </row>
    <row r="7" spans="1:18" ht="13" x14ac:dyDescent="0.3">
      <c r="A7" s="45" t="s">
        <v>34</v>
      </c>
      <c r="B7" s="48">
        <v>40000</v>
      </c>
      <c r="C7" s="45"/>
      <c r="D7" s="47"/>
      <c r="E7" s="45"/>
      <c r="F7" s="47"/>
      <c r="G7" s="47"/>
      <c r="P7" t="s">
        <v>48</v>
      </c>
    </row>
    <row r="8" spans="1:18" ht="13" x14ac:dyDescent="0.3">
      <c r="A8" s="45" t="s">
        <v>35</v>
      </c>
      <c r="B8" s="48">
        <v>60000</v>
      </c>
      <c r="C8" s="45"/>
      <c r="D8" s="47"/>
      <c r="E8" s="45"/>
      <c r="F8" s="47"/>
      <c r="G8" s="47"/>
    </row>
    <row r="9" spans="1:18" ht="13" x14ac:dyDescent="0.3">
      <c r="A9" s="45" t="s">
        <v>51</v>
      </c>
      <c r="B9" s="48">
        <v>15000</v>
      </c>
      <c r="C9" s="45"/>
      <c r="D9" s="47"/>
      <c r="E9" s="45"/>
      <c r="F9" s="47"/>
      <c r="G9" s="47"/>
      <c r="J9" s="1"/>
      <c r="K9" s="1" t="s">
        <v>46</v>
      </c>
      <c r="L9" s="1" t="s">
        <v>38</v>
      </c>
      <c r="M9" s="1" t="s">
        <v>39</v>
      </c>
      <c r="N9" s="1" t="s">
        <v>40</v>
      </c>
      <c r="O9" s="1" t="s">
        <v>41</v>
      </c>
      <c r="P9" s="1" t="s">
        <v>42</v>
      </c>
      <c r="Q9" s="1" t="s">
        <v>47</v>
      </c>
      <c r="R9" s="1" t="s">
        <v>49</v>
      </c>
    </row>
    <row r="10" spans="1:18" ht="13" x14ac:dyDescent="0.3">
      <c r="A10" s="45" t="s">
        <v>37</v>
      </c>
      <c r="B10" s="48">
        <v>20000</v>
      </c>
      <c r="C10" s="45"/>
      <c r="D10" s="47"/>
      <c r="E10" s="45"/>
      <c r="F10" s="47"/>
      <c r="G10" s="47"/>
      <c r="J10" s="44"/>
      <c r="K10" s="1">
        <v>2080</v>
      </c>
      <c r="L10" s="43">
        <f>J10/K10</f>
        <v>0</v>
      </c>
      <c r="M10" s="1">
        <v>2.75</v>
      </c>
      <c r="N10" s="44">
        <f>L10*M10</f>
        <v>0</v>
      </c>
      <c r="O10" s="1">
        <v>4</v>
      </c>
      <c r="P10" s="1">
        <v>26</v>
      </c>
      <c r="Q10" s="1">
        <f>O10*P10</f>
        <v>104</v>
      </c>
      <c r="R10" s="44">
        <f>N10*Q10</f>
        <v>0</v>
      </c>
    </row>
    <row r="11" spans="1:18" ht="13" x14ac:dyDescent="0.3">
      <c r="A11" s="45" t="s">
        <v>43</v>
      </c>
      <c r="B11" s="48">
        <v>13750</v>
      </c>
      <c r="C11" s="45"/>
      <c r="D11" s="47"/>
      <c r="E11" s="45"/>
      <c r="F11" s="47"/>
      <c r="G11" s="47"/>
    </row>
    <row r="12" spans="1:18" ht="13" x14ac:dyDescent="0.3">
      <c r="A12" s="45" t="s">
        <v>44</v>
      </c>
      <c r="B12" s="48">
        <f>3500+40000+60500+6870</f>
        <v>110870</v>
      </c>
      <c r="C12" s="45"/>
      <c r="D12" s="47" t="s">
        <v>28</v>
      </c>
      <c r="E12" s="45"/>
      <c r="F12" s="47"/>
      <c r="G12" s="47"/>
    </row>
    <row r="13" spans="1:18" ht="13.5" thickBot="1" x14ac:dyDescent="0.35">
      <c r="A13" s="45" t="s">
        <v>45</v>
      </c>
      <c r="B13" s="51">
        <v>97000</v>
      </c>
      <c r="C13" s="45"/>
      <c r="D13" s="47" t="s">
        <v>17</v>
      </c>
      <c r="E13" s="45"/>
      <c r="F13" s="47"/>
      <c r="G13" s="47"/>
    </row>
    <row r="14" spans="1:18" ht="13" x14ac:dyDescent="0.3">
      <c r="A14" s="45" t="s">
        <v>13</v>
      </c>
      <c r="B14" s="52">
        <f>SUM(B4:B13)</f>
        <v>7236620</v>
      </c>
      <c r="C14" s="45"/>
      <c r="D14" s="47"/>
      <c r="E14" s="45"/>
      <c r="F14" s="47"/>
      <c r="G14" s="47"/>
    </row>
    <row r="15" spans="1:18" ht="13.5" thickBot="1" x14ac:dyDescent="0.35">
      <c r="A15" s="45" t="s">
        <v>33</v>
      </c>
      <c r="B15" s="53">
        <f>B16-B14</f>
        <v>763380</v>
      </c>
      <c r="C15" s="45"/>
      <c r="D15" s="54">
        <f>B15/B14</f>
        <v>0.10548847390079899</v>
      </c>
      <c r="E15" s="52">
        <f>B15+B12+B13</f>
        <v>971250</v>
      </c>
      <c r="F15" s="47" t="s">
        <v>53</v>
      </c>
      <c r="G15" s="47"/>
      <c r="H15" s="54">
        <f>E15/B14</f>
        <v>0.13421321003451889</v>
      </c>
    </row>
    <row r="16" spans="1:18" ht="13" x14ac:dyDescent="0.3">
      <c r="A16" s="45" t="s">
        <v>14</v>
      </c>
      <c r="B16" s="52">
        <v>8000000</v>
      </c>
      <c r="C16" s="45"/>
      <c r="D16" s="47"/>
      <c r="E16" s="45"/>
      <c r="F16" s="47"/>
      <c r="G16" s="47"/>
    </row>
    <row r="17" spans="1:12" x14ac:dyDescent="0.25">
      <c r="A17" s="2"/>
      <c r="B17" s="25"/>
    </row>
    <row r="18" spans="1:12" s="6" customFormat="1" ht="15.5" x14ac:dyDescent="0.25">
      <c r="A18" s="5"/>
      <c r="B18" s="14"/>
      <c r="C18" s="14"/>
      <c r="D18" s="65"/>
      <c r="E18" s="65"/>
      <c r="F18" s="5"/>
      <c r="G18" s="65"/>
      <c r="H18" s="65"/>
    </row>
    <row r="19" spans="1:12" ht="16" thickBot="1" x14ac:dyDescent="0.4">
      <c r="A19" s="59" t="s">
        <v>16</v>
      </c>
      <c r="B19" s="15"/>
      <c r="C19" s="15"/>
      <c r="F19" s="2"/>
    </row>
    <row r="20" spans="1:12" s="1" customFormat="1" ht="17.5" customHeight="1" x14ac:dyDescent="0.25">
      <c r="A20" s="13" t="s">
        <v>66</v>
      </c>
      <c r="B20" s="16">
        <f>B21/(0.001*B26)</f>
        <v>4.9720461800985252</v>
      </c>
      <c r="C20" s="16"/>
      <c r="D20" s="21" t="s">
        <v>9</v>
      </c>
      <c r="E20" s="60">
        <v>8000000</v>
      </c>
      <c r="F20" s="10"/>
      <c r="H20"/>
      <c r="I20"/>
      <c r="J20"/>
      <c r="K20"/>
      <c r="L20"/>
    </row>
    <row r="21" spans="1:12" s="1" customFormat="1" x14ac:dyDescent="0.25">
      <c r="A21" s="13" t="s">
        <v>8</v>
      </c>
      <c r="B21" s="63">
        <f>-(E26)</f>
        <v>515348.75809165346</v>
      </c>
      <c r="C21" s="15"/>
      <c r="D21" s="22" t="s">
        <v>55</v>
      </c>
      <c r="E21" s="42">
        <v>0.05</v>
      </c>
      <c r="F21" s="7"/>
      <c r="G21"/>
      <c r="H21"/>
      <c r="I21"/>
      <c r="J21"/>
      <c r="K21"/>
      <c r="L21"/>
    </row>
    <row r="22" spans="1:12" s="1" customFormat="1" ht="11.5" customHeight="1" thickBot="1" x14ac:dyDescent="0.3">
      <c r="A22" s="2"/>
      <c r="B22" s="2"/>
      <c r="C22" s="2"/>
      <c r="D22" s="23" t="s">
        <v>10</v>
      </c>
      <c r="E22" s="24">
        <v>30</v>
      </c>
      <c r="G22"/>
      <c r="H22"/>
      <c r="I22"/>
      <c r="J22"/>
      <c r="K22"/>
      <c r="L22"/>
    </row>
    <row r="23" spans="1:12" s="1" customFormat="1" x14ac:dyDescent="0.25">
      <c r="A23" s="13" t="s">
        <v>67</v>
      </c>
      <c r="B23" s="57">
        <v>6.3700000000000007E-2</v>
      </c>
      <c r="C23" s="17"/>
      <c r="D23" s="13" t="s">
        <v>57</v>
      </c>
      <c r="E23" s="2">
        <f>E22*12</f>
        <v>360</v>
      </c>
      <c r="F23" s="9"/>
      <c r="G23" s="12"/>
      <c r="H23"/>
      <c r="I23"/>
      <c r="J23" s="3"/>
      <c r="K23"/>
      <c r="L23"/>
    </row>
    <row r="24" spans="1:12" s="1" customFormat="1" x14ac:dyDescent="0.25">
      <c r="A24" s="2" t="s">
        <v>4</v>
      </c>
      <c r="B24" s="17">
        <v>0.28999999999999998</v>
      </c>
      <c r="C24" s="17"/>
      <c r="D24" s="13" t="s">
        <v>58</v>
      </c>
      <c r="E24" s="61">
        <f>E21/12</f>
        <v>4.1666666666666666E-3</v>
      </c>
      <c r="G24"/>
      <c r="H24" s="39"/>
      <c r="I24"/>
      <c r="J24"/>
      <c r="K24"/>
      <c r="L24"/>
    </row>
    <row r="25" spans="1:12" s="1" customFormat="1" x14ac:dyDescent="0.25">
      <c r="A25" s="2"/>
      <c r="B25" s="2"/>
      <c r="C25" s="2"/>
      <c r="D25" s="13" t="s">
        <v>6</v>
      </c>
      <c r="E25" s="18">
        <f>PMT(E24,E23,E20)</f>
        <v>-42945.729840971122</v>
      </c>
      <c r="F25" s="11"/>
      <c r="G25" s="11"/>
      <c r="H25" s="38"/>
    </row>
    <row r="26" spans="1:12" s="1" customFormat="1" ht="13" thickBot="1" x14ac:dyDescent="0.3">
      <c r="A26" s="2" t="s">
        <v>0</v>
      </c>
      <c r="B26" s="18">
        <f>103649230</f>
        <v>103649230</v>
      </c>
      <c r="C26" s="18"/>
      <c r="D26" s="13" t="s">
        <v>7</v>
      </c>
      <c r="E26" s="18">
        <f>E25*12</f>
        <v>-515348.75809165346</v>
      </c>
      <c r="F26" s="11"/>
      <c r="G26" s="11"/>
      <c r="H26" s="11"/>
    </row>
    <row r="27" spans="1:12" s="1" customFormat="1" ht="13" thickBot="1" x14ac:dyDescent="0.3">
      <c r="A27" s="13" t="s">
        <v>54</v>
      </c>
      <c r="B27" s="18">
        <f>B26*J27</f>
        <v>89138337.799999997</v>
      </c>
      <c r="C27" s="18"/>
      <c r="D27" s="20" t="s">
        <v>56</v>
      </c>
      <c r="E27" s="64">
        <f>E23*E25</f>
        <v>-15460462.742749603</v>
      </c>
      <c r="J27" s="58">
        <v>0.86</v>
      </c>
    </row>
    <row r="28" spans="1:12" x14ac:dyDescent="0.25">
      <c r="A28" s="13" t="s">
        <v>62</v>
      </c>
      <c r="B28" s="18">
        <f>B26*J28</f>
        <v>14510892.200000001</v>
      </c>
      <c r="C28" s="18"/>
      <c r="D28" s="58"/>
      <c r="F28" s="8"/>
      <c r="G28" s="8"/>
      <c r="H28" s="8"/>
      <c r="J28" s="58">
        <v>0.14000000000000001</v>
      </c>
    </row>
    <row r="29" spans="1:12" x14ac:dyDescent="0.25">
      <c r="A29" s="2"/>
      <c r="B29" s="18"/>
      <c r="C29" s="18"/>
      <c r="E29" s="1"/>
      <c r="F29" s="8"/>
      <c r="G29" s="8"/>
      <c r="H29" s="8"/>
    </row>
    <row r="30" spans="1:12" x14ac:dyDescent="0.25">
      <c r="A30" s="2" t="s">
        <v>1</v>
      </c>
      <c r="B30" s="18">
        <f t="shared" ref="B30" si="0">SUM(B31:B32)</f>
        <v>1058041140</v>
      </c>
      <c r="C30" s="18"/>
      <c r="F30" s="8"/>
      <c r="G30" s="8"/>
      <c r="H30" s="8"/>
    </row>
    <row r="31" spans="1:12" x14ac:dyDescent="0.25">
      <c r="A31" s="2" t="s">
        <v>2</v>
      </c>
      <c r="B31" s="18">
        <f>1188595+1017935007+7497855</f>
        <v>1026621457</v>
      </c>
      <c r="C31" s="18"/>
      <c r="D31" s="8"/>
      <c r="E31" s="18"/>
      <c r="F31" s="8"/>
      <c r="H31" s="8"/>
    </row>
    <row r="32" spans="1:12" x14ac:dyDescent="0.25">
      <c r="A32" s="2" t="s">
        <v>3</v>
      </c>
      <c r="B32" s="18">
        <v>31419683</v>
      </c>
      <c r="C32" s="18"/>
      <c r="D32" s="2"/>
      <c r="E32" s="62"/>
      <c r="F32" s="8"/>
      <c r="G32" s="8"/>
      <c r="H32" s="8"/>
    </row>
    <row r="33" spans="1:10" ht="11.5" customHeight="1" x14ac:dyDescent="0.25">
      <c r="A33" s="2"/>
      <c r="B33" s="18"/>
      <c r="C33" s="18"/>
      <c r="F33" s="8"/>
      <c r="G33" s="8"/>
      <c r="H33" s="8"/>
    </row>
    <row r="34" spans="1:10" x14ac:dyDescent="0.25">
      <c r="A34" s="2" t="s">
        <v>5</v>
      </c>
      <c r="B34" s="18"/>
      <c r="C34" s="18"/>
      <c r="F34" s="8"/>
      <c r="G34" s="8"/>
      <c r="H34" s="8"/>
    </row>
    <row r="35" spans="1:10" x14ac:dyDescent="0.25">
      <c r="A35" s="13" t="s">
        <v>63</v>
      </c>
      <c r="B35" s="41">
        <f>SUM(B36:B37)</f>
        <v>515348.75809165346</v>
      </c>
      <c r="C35" s="18"/>
      <c r="D35" s="2"/>
      <c r="F35" s="8"/>
      <c r="G35" s="8"/>
      <c r="H35" s="8"/>
    </row>
    <row r="36" spans="1:10" x14ac:dyDescent="0.25">
      <c r="A36" s="13" t="s">
        <v>64</v>
      </c>
      <c r="B36" s="18">
        <f>(B27*0.001)*B20</f>
        <v>443199.93195882195</v>
      </c>
      <c r="C36" s="18"/>
      <c r="F36" s="8"/>
      <c r="G36" s="8"/>
      <c r="H36" s="8"/>
    </row>
    <row r="37" spans="1:10" x14ac:dyDescent="0.25">
      <c r="A37" s="13" t="s">
        <v>65</v>
      </c>
      <c r="B37" s="18">
        <f>(B28*0.001)*B20</f>
        <v>72148.826132831498</v>
      </c>
      <c r="C37" s="18"/>
      <c r="F37" s="8"/>
      <c r="G37" s="8"/>
      <c r="H37" s="8"/>
    </row>
    <row r="38" spans="1:10" x14ac:dyDescent="0.25">
      <c r="B38" s="18"/>
      <c r="C38" s="18"/>
      <c r="F38" s="8"/>
      <c r="G38" s="8"/>
      <c r="H38" s="8"/>
    </row>
    <row r="39" spans="1:10" x14ac:dyDescent="0.25">
      <c r="A39" s="13" t="s">
        <v>30</v>
      </c>
      <c r="B39" s="19">
        <f>(B20*0.001)*(100000*B23)</f>
        <v>31.671934167227612</v>
      </c>
      <c r="C39" s="18"/>
      <c r="D39" s="8"/>
      <c r="E39" s="18"/>
      <c r="F39" s="8"/>
      <c r="G39" s="8"/>
      <c r="H39" s="8"/>
    </row>
    <row r="40" spans="1:10" x14ac:dyDescent="0.25">
      <c r="A40" s="13" t="s">
        <v>31</v>
      </c>
      <c r="B40" s="18">
        <f>(B20*0.001)*(100000*B24)</f>
        <v>144.18933922285723</v>
      </c>
      <c r="C40" s="18"/>
      <c r="D40" s="8"/>
      <c r="E40" s="18"/>
      <c r="F40" s="8"/>
      <c r="G40" s="8"/>
      <c r="H40" s="8"/>
      <c r="J40" s="55"/>
    </row>
    <row r="41" spans="1:10" x14ac:dyDescent="0.25">
      <c r="A41" s="2"/>
      <c r="D41" s="8"/>
      <c r="E41" s="18"/>
      <c r="F41" s="8"/>
      <c r="G41" s="8"/>
      <c r="H41" s="8"/>
    </row>
    <row r="42" spans="1:10" x14ac:dyDescent="0.25">
      <c r="A42" s="13" t="s">
        <v>61</v>
      </c>
      <c r="B42" s="19">
        <f>(B39*10)</f>
        <v>316.71934167227613</v>
      </c>
      <c r="C42" s="19"/>
      <c r="D42" s="8"/>
      <c r="E42" s="18"/>
      <c r="G42" s="56"/>
      <c r="H42" s="56"/>
      <c r="I42" s="1"/>
      <c r="J42" s="56"/>
    </row>
    <row r="43" spans="1:10" x14ac:dyDescent="0.25">
      <c r="A43" s="13" t="s">
        <v>60</v>
      </c>
      <c r="B43" s="19">
        <f>B42/12</f>
        <v>26.393278472689676</v>
      </c>
      <c r="D43" s="8"/>
      <c r="E43" s="18"/>
      <c r="I43" s="4"/>
    </row>
    <row r="44" spans="1:10" x14ac:dyDescent="0.25">
      <c r="A44" s="13" t="s">
        <v>59</v>
      </c>
      <c r="B44" s="19">
        <f>B42*30</f>
        <v>9501.5802501682847</v>
      </c>
      <c r="I44" s="4"/>
    </row>
    <row r="48" spans="1:10" ht="18" hidden="1" x14ac:dyDescent="0.4">
      <c r="A48" s="29" t="s">
        <v>24</v>
      </c>
    </row>
    <row r="49" spans="1:8" hidden="1" x14ac:dyDescent="0.25"/>
    <row r="50" spans="1:8" hidden="1" x14ac:dyDescent="0.25">
      <c r="A50" s="13" t="s">
        <v>18</v>
      </c>
      <c r="B50" s="28" t="s">
        <v>19</v>
      </c>
    </row>
    <row r="51" spans="1:8" hidden="1" x14ac:dyDescent="0.25">
      <c r="A51" s="13" t="s">
        <v>20</v>
      </c>
      <c r="B51" s="30">
        <v>1129516</v>
      </c>
    </row>
    <row r="52" spans="1:8" hidden="1" x14ac:dyDescent="0.25">
      <c r="A52" s="13" t="s">
        <v>21</v>
      </c>
      <c r="B52" s="30">
        <v>71993</v>
      </c>
    </row>
    <row r="53" spans="1:8" hidden="1" x14ac:dyDescent="0.25">
      <c r="A53" s="13" t="s">
        <v>22</v>
      </c>
      <c r="B53" s="31">
        <f>B52/B51</f>
        <v>6.3737919604503174E-2</v>
      </c>
    </row>
    <row r="54" spans="1:8" ht="14.5" hidden="1" x14ac:dyDescent="0.25">
      <c r="A54" s="13" t="s">
        <v>23</v>
      </c>
      <c r="B54" s="32">
        <v>9.5299999999999996E-2</v>
      </c>
      <c r="E54" s="26"/>
    </row>
    <row r="55" spans="1:8" ht="14.5" hidden="1" x14ac:dyDescent="0.25">
      <c r="A55" s="13" t="s">
        <v>26</v>
      </c>
      <c r="B55" s="33">
        <f>B54*B52</f>
        <v>6860.9328999999998</v>
      </c>
      <c r="D55" s="36" t="s">
        <v>25</v>
      </c>
      <c r="E55" s="26"/>
    </row>
    <row r="56" spans="1:8" ht="14.5" hidden="1" x14ac:dyDescent="0.25">
      <c r="A56" s="2"/>
      <c r="E56" s="26"/>
      <c r="H56" s="26"/>
    </row>
    <row r="57" spans="1:8" ht="18.5" hidden="1" thickBot="1" x14ac:dyDescent="0.45">
      <c r="A57" s="13" t="s">
        <v>27</v>
      </c>
      <c r="B57" s="34">
        <f>B39*(B51/100000)</f>
        <v>357.73956392830263</v>
      </c>
      <c r="E57" s="35"/>
    </row>
    <row r="58" spans="1:8" ht="18.5" hidden="1" thickBot="1" x14ac:dyDescent="0.45">
      <c r="A58" s="13" t="s">
        <v>32</v>
      </c>
      <c r="B58" s="34">
        <f>B55+B57</f>
        <v>7218.672463928302</v>
      </c>
      <c r="E58" s="26"/>
    </row>
    <row r="59" spans="1:8" ht="14.5" x14ac:dyDescent="0.25">
      <c r="D59" s="40"/>
      <c r="E59" s="26"/>
    </row>
    <row r="60" spans="1:8" ht="14.5" x14ac:dyDescent="0.25">
      <c r="E60" s="26"/>
    </row>
    <row r="61" spans="1:8" ht="14.5" x14ac:dyDescent="0.25">
      <c r="E61" s="26"/>
    </row>
    <row r="62" spans="1:8" ht="14.5" x14ac:dyDescent="0.35">
      <c r="E62" s="27"/>
    </row>
  </sheetData>
  <mergeCells count="2">
    <mergeCell ref="D18:E18"/>
    <mergeCell ref="G18:H18"/>
  </mergeCells>
  <phoneticPr fontId="2" type="noConversion"/>
  <pageMargins left="0.75" right="0.25" top="1.25" bottom="0.5" header="0" footer="0"/>
  <pageSetup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5AAB-01DE-4642-B25E-D7B4C280D0A9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Mill Levy Adj Calc</vt:lpstr>
      <vt:lpstr>Sheet1</vt:lpstr>
    </vt:vector>
  </TitlesOfParts>
  <Company>Genesee Fire Rescue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Puffett</dc:creator>
  <cp:lastModifiedBy>Will Quinby</cp:lastModifiedBy>
  <cp:lastPrinted>2025-03-19T18:38:24Z</cp:lastPrinted>
  <dcterms:created xsi:type="dcterms:W3CDTF">2018-02-20T22:57:20Z</dcterms:created>
  <dcterms:modified xsi:type="dcterms:W3CDTF">2025-04-13T16:50:59Z</dcterms:modified>
</cp:coreProperties>
</file>